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/>
  <bookViews>
    <workbookView xWindow="0" yWindow="0" windowWidth="13455" windowHeight="11910"/>
  </bookViews>
  <sheets>
    <sheet name="Berechnung" sheetId="1" r:id="rId1"/>
    <sheet name="Berechnungswerte" sheetId="2" state="hidden" r:id="rId2"/>
  </sheets>
  <definedNames>
    <definedName name="_xlnm.Print_Area" localSheetId="0">Berechnung!$B$2:$O$68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19" i="2"/>
  <c r="D18" i="2"/>
  <c r="D21" i="2" s="1"/>
  <c r="D15" i="2"/>
  <c r="D14" i="2"/>
  <c r="D8" i="2"/>
  <c r="D7" i="2"/>
  <c r="L65" i="1"/>
  <c r="H65" i="1"/>
  <c r="N65" i="1" s="1"/>
  <c r="N63" i="1"/>
  <c r="L63" i="1"/>
  <c r="H63" i="1"/>
  <c r="L61" i="1"/>
  <c r="H61" i="1"/>
  <c r="N61" i="1" s="1"/>
  <c r="H54" i="1"/>
  <c r="C54" i="1"/>
  <c r="H53" i="1"/>
  <c r="C53" i="1"/>
  <c r="H52" i="1"/>
  <c r="C52" i="1"/>
  <c r="C50" i="1"/>
  <c r="C49" i="1"/>
  <c r="C47" i="1"/>
  <c r="L45" i="1"/>
  <c r="L54" i="1" s="1"/>
  <c r="N54" i="1" s="1"/>
  <c r="H45" i="1"/>
  <c r="N45" i="1" s="1"/>
  <c r="N43" i="1"/>
  <c r="L43" i="1"/>
  <c r="L53" i="1" s="1"/>
  <c r="N53" i="1" s="1"/>
  <c r="H43" i="1"/>
  <c r="L41" i="1"/>
  <c r="L52" i="1" s="1"/>
  <c r="H41" i="1"/>
  <c r="N41" i="1" s="1"/>
  <c r="N39" i="1"/>
  <c r="L39" i="1"/>
  <c r="H39" i="1"/>
  <c r="L37" i="1"/>
  <c r="H37" i="1"/>
  <c r="N37" i="1" s="1"/>
  <c r="N30" i="1"/>
  <c r="L30" i="1"/>
  <c r="H30" i="1"/>
  <c r="L24" i="1"/>
  <c r="H24" i="1"/>
  <c r="N24" i="1" s="1"/>
  <c r="H19" i="1"/>
  <c r="N52" i="1" l="1"/>
</calcChain>
</file>

<file path=xl/sharedStrings.xml><?xml version="1.0" encoding="utf-8"?>
<sst xmlns="http://schemas.openxmlformats.org/spreadsheetml/2006/main" count="71" uniqueCount="61">
  <si>
    <t>Jahresbeitrag der Zusatzversicherung</t>
  </si>
  <si>
    <t>Unternehmen mit Bodenbewirtschaftung</t>
  </si>
  <si>
    <t>tägliches Verletztengeld</t>
  </si>
  <si>
    <t>Renten</t>
  </si>
  <si>
    <t xml:space="preserve">Verletztenrente </t>
  </si>
  <si>
    <t xml:space="preserve">bei einer Erwerbsminderung von 30 % </t>
  </si>
  <si>
    <t xml:space="preserve">bei einer Erwerbsminderung von 40 % </t>
  </si>
  <si>
    <t xml:space="preserve">bei einer Erwerbsminderung von 60 % </t>
  </si>
  <si>
    <t xml:space="preserve">bei einer Erwerbsminderung von 80 % </t>
  </si>
  <si>
    <t xml:space="preserve">bei einer Erwerbsminderung von 100 % </t>
  </si>
  <si>
    <t>Hinterbliebenenrenten</t>
  </si>
  <si>
    <t>Halbwaisenrente</t>
  </si>
  <si>
    <t>große Witwenrente</t>
  </si>
  <si>
    <t>Vollwaisenrente / kleine Witwenrente</t>
  </si>
  <si>
    <t>Berechnung für</t>
  </si>
  <si>
    <t>gewünschter zusätzlicher Jahresarbeitsverdienst</t>
  </si>
  <si>
    <t>Berechnungswerte</t>
  </si>
  <si>
    <t>Jahresarbeitsverdienst nach § 93 Abs. 2 Nr. 2 SGB VII</t>
  </si>
  <si>
    <t>Schwerverletztenzulage nach § 93 Abs. 2 Nr. 2 SGB VII</t>
  </si>
  <si>
    <t>Höchstjahresarbeitsverdienst § 28 der Satzung</t>
  </si>
  <si>
    <t>Höchstmögliche Zusatzversicherungssumme</t>
  </si>
  <si>
    <t>Höchstmögliche Zusatzversicherungssumme Mifa</t>
  </si>
  <si>
    <t>Anpassungsfaktor UV § 95 (RWBestV 20..) - West</t>
  </si>
  <si>
    <t>Bezugsgröße West</t>
  </si>
  <si>
    <t>Bezugsgröße Ost</t>
  </si>
  <si>
    <t>Mindestjahresarbeitsverdienst Mifa West</t>
  </si>
  <si>
    <t>Mindestjahresarbeitsverdienst Mifa Ost</t>
  </si>
  <si>
    <t>Beitrag Zusatzversicherung je 100 Euro</t>
  </si>
  <si>
    <t>Jahresarbeitsentgeltgrenze</t>
  </si>
  <si>
    <t>Verletztengeld (§ 55a Abs. 3 SGB VII i.V.m. § 13 Abs. 1 KVLG 1989 i.V.m. § 223 Abs. 3 SGB V i.V.m. § 6 Abs. 7 SGB V)</t>
  </si>
  <si>
    <t>1/8 von (1/360 der Jahresarbeitsentgeltgrenze)</t>
  </si>
  <si>
    <t>Verletztengeld Unternehmer o. Bodenbewirtschaftung (§ 47 Abs. 5 SGB VII)</t>
  </si>
  <si>
    <t>1/450 des JAV</t>
  </si>
  <si>
    <t>Verletztengeld - Unternehmer Bodenbewirtschaftung - täglich</t>
  </si>
  <si>
    <t>Stand:</t>
  </si>
  <si>
    <t>Verletztenrente - 100 % - Unternehmer monatlich</t>
  </si>
  <si>
    <t>Gesamtanspruch</t>
  </si>
  <si>
    <t>Überschreitet das Einkommen der Witwe/des Witwers bestimmte Freibeträge, wird es zu 40 % auf die Rente angerechnet.</t>
  </si>
  <si>
    <t>Beispielrechner für Beiträge und Leistungen bei unterschiedlichen Zusatzjahresarbeitsverdiensten</t>
  </si>
  <si>
    <t>Anzusetzender JAV (Unternehmer/Mifa/West/Ost)</t>
  </si>
  <si>
    <t>(z. B. GaLa-Bau- und Lohnunternehmen)</t>
  </si>
  <si>
    <t>Unternehmen ohne Bodenbewirtschaftung</t>
  </si>
  <si>
    <t>Anspruch aus 
Zusatzversicherung</t>
  </si>
  <si>
    <t>Unternehmer</t>
  </si>
  <si>
    <t>Mifa-West</t>
  </si>
  <si>
    <t>Mifa-Ost</t>
  </si>
  <si>
    <t>KZ-Ber</t>
  </si>
  <si>
    <t>Alter</t>
  </si>
  <si>
    <t>gesetzlicher 
Anspruch</t>
  </si>
  <si>
    <t>X</t>
  </si>
  <si>
    <t>Gesamt-
anspruch</t>
  </si>
  <si>
    <t>Verletztengeld</t>
  </si>
  <si>
    <t>JAV</t>
  </si>
  <si>
    <t>GJAV Satz.</t>
  </si>
  <si>
    <t>Höchst-ZJAV</t>
  </si>
  <si>
    <t>Mindest-JAV AN Ost</t>
  </si>
  <si>
    <t>Mindest-JAV AN West</t>
  </si>
  <si>
    <t>Beitragssatz</t>
  </si>
  <si>
    <t>Höchst-ZJAV Mifa</t>
  </si>
  <si>
    <t>Anpassungsfaktor UV § 95</t>
  </si>
  <si>
    <t>ges. Verl.-Rente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</si>
</sst>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\ &quot;€&quot;"/>
    <numFmt numFmtId="166" formatCode="#,##0.0000"/>
  </numFmts>
  <fonts count="7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4" borderId="0" xfId="0" applyNumberFormat="1" applyFill="1"/>
    <xf numFmtId="4" fontId="0" fillId="0" borderId="0" xfId="0" applyNumberFormat="1"/>
    <xf numFmtId="0" fontId="0" fillId="4" borderId="0" xfId="0" applyFill="1"/>
    <xf numFmtId="14" fontId="0" fillId="0" borderId="0" xfId="0" applyNumberFormat="1"/>
    <xf numFmtId="0" fontId="1" fillId="2" borderId="0" xfId="0" applyFont="1" applyFill="1" applyBorder="1"/>
    <xf numFmtId="0" fontId="2" fillId="2" borderId="0" xfId="0" applyFont="1" applyFill="1" applyBorder="1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4" fontId="2" fillId="2" borderId="0" xfId="0" applyNumberFormat="1" applyFont="1" applyFill="1" applyBorder="1"/>
    <xf numFmtId="3" fontId="2" fillId="2" borderId="0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2" borderId="0" xfId="0" applyNumberFormat="1" applyFont="1" applyFill="1" applyBorder="1"/>
    <xf numFmtId="0" fontId="1" fillId="2" borderId="5" xfId="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5" fillId="2" borderId="0" xfId="0" applyFont="1" applyFill="1" applyBorder="1"/>
    <xf numFmtId="165" fontId="3" fillId="2" borderId="0" xfId="0" applyNumberFormat="1" applyFont="1" applyFill="1" applyBorder="1" applyAlignment="1">
      <alignment horizontal="center" vertical="center"/>
    </xf>
    <xf numFmtId="0" fontId="2" fillId="2" borderId="12" xfId="0" applyFont="1" applyFill="1" applyBorder="1"/>
    <xf numFmtId="0" fontId="1" fillId="2" borderId="1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/>
    <xf numFmtId="0" fontId="2" fillId="2" borderId="13" xfId="0" applyFont="1" applyFill="1" applyBorder="1"/>
    <xf numFmtId="0" fontId="2" fillId="2" borderId="14" xfId="0" applyFont="1" applyFill="1" applyBorder="1"/>
    <xf numFmtId="164" fontId="4" fillId="2" borderId="0" xfId="0" applyNumberFormat="1" applyFont="1" applyFill="1" applyBorder="1"/>
    <xf numFmtId="0" fontId="2" fillId="2" borderId="0" xfId="0" applyFont="1" applyFill="1"/>
    <xf numFmtId="0" fontId="5" fillId="2" borderId="0" xfId="0" applyFont="1" applyFill="1" applyBorder="1" applyAlignment="1">
      <alignment wrapText="1"/>
    </xf>
    <xf numFmtId="0" fontId="4" fillId="2" borderId="0" xfId="0" applyFont="1" applyFill="1"/>
    <xf numFmtId="164" fontId="4" fillId="2" borderId="0" xfId="0" applyNumberFormat="1" applyFont="1" applyFill="1"/>
    <xf numFmtId="0" fontId="0" fillId="2" borderId="0" xfId="0" applyFont="1" applyFill="1" applyBorder="1"/>
    <xf numFmtId="0" fontId="3" fillId="2" borderId="12" xfId="0" applyFont="1" applyFill="1" applyBorder="1"/>
    <xf numFmtId="0" fontId="0" fillId="2" borderId="5" xfId="0" applyFont="1" applyFill="1" applyBorder="1"/>
    <xf numFmtId="165" fontId="3" fillId="3" borderId="15" xfId="0" applyNumberFormat="1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/>
  </cellXfs>
  <cellStyles count="1"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85725</xdr:rowOff>
        </xdr:from>
        <xdr:to>
          <xdr:col>5</xdr:col>
          <xdr:colOff>819150</xdr:colOff>
          <xdr:row>7</xdr:row>
          <xdr:rowOff>9525</xdr:rowOff>
        </xdr:to>
        <xdr:sp macro="" textlink="">
          <xdr:nvSpPr>
            <xdr:cNvPr id="1027" name="OptionButton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114300</xdr:rowOff>
        </xdr:from>
        <xdr:to>
          <xdr:col>11</xdr:col>
          <xdr:colOff>676275</xdr:colOff>
          <xdr:row>9</xdr:row>
          <xdr:rowOff>47625</xdr:rowOff>
        </xdr:to>
        <xdr:sp macro="" textlink="">
          <xdr:nvSpPr>
            <xdr:cNvPr id="1028" name="Option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57150</xdr:rowOff>
        </xdr:from>
        <xdr:to>
          <xdr:col>11</xdr:col>
          <xdr:colOff>619125</xdr:colOff>
          <xdr:row>14</xdr:row>
          <xdr:rowOff>28575</xdr:rowOff>
        </xdr:to>
        <xdr:sp macro="" textlink="">
          <xdr:nvSpPr>
            <xdr:cNvPr id="1030" name="OptionButton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O96"/>
  <sheetViews>
    <sheetView showGridLines="0" tabSelected="1" zoomScale="85" zoomScaleNormal="85" workbookViewId="0">
      <selection activeCell="H15" sqref="H15"/>
    </sheetView>
  </sheetViews>
  <sheetFormatPr baseColWidth="10" defaultRowHeight="14.25" x14ac:dyDescent="0.2"/>
  <cols>
    <col min="1" max="1" width="2.85546875" style="9" customWidth="1"/>
    <col min="2" max="2" width="1.85546875" style="9" customWidth="1"/>
    <col min="3" max="3" width="9.7109375" style="9" customWidth="1"/>
    <col min="4" max="4" width="3.85546875" style="9" customWidth="1"/>
    <col min="5" max="5" width="14.28515625" style="9" customWidth="1"/>
    <col min="6" max="6" width="13.85546875" style="9" customWidth="1"/>
    <col min="7" max="7" width="12.140625" style="9" customWidth="1"/>
    <col min="8" max="8" width="16" style="9" customWidth="1"/>
    <col min="9" max="9" width="1" style="9" customWidth="1"/>
    <col min="10" max="11" width="0.85546875" style="9" customWidth="1"/>
    <col min="12" max="12" width="19.85546875" style="9" customWidth="1"/>
    <col min="13" max="13" width="2.28515625" style="9" customWidth="1"/>
    <col min="14" max="14" width="17.5703125" style="9" customWidth="1"/>
    <col min="15" max="15" width="6.85546875" style="9" customWidth="1"/>
    <col min="16" max="16384" width="11.42578125" style="9"/>
  </cols>
  <sheetData>
    <row r="1" spans="2:15" ht="15" thickBot="1" x14ac:dyDescent="0.25"/>
    <row r="2" spans="2:15" x14ac:dyDescent="0.2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2:15" ht="15.75" x14ac:dyDescent="0.25">
      <c r="B3" s="13"/>
      <c r="C3" s="27" t="s">
        <v>38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4"/>
    </row>
    <row r="4" spans="2:15" x14ac:dyDescent="0.2">
      <c r="B4" s="1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4"/>
    </row>
    <row r="5" spans="2:15" ht="15" x14ac:dyDescent="0.25">
      <c r="B5" s="13"/>
      <c r="C5" s="7" t="s">
        <v>14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4"/>
    </row>
    <row r="6" spans="2:15" x14ac:dyDescent="0.2">
      <c r="B6" s="1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4"/>
    </row>
    <row r="7" spans="2:15" x14ac:dyDescent="0.2">
      <c r="B7" s="1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4"/>
    </row>
    <row r="8" spans="2:15" x14ac:dyDescent="0.2">
      <c r="B8" s="1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5"/>
      <c r="O8" s="14"/>
    </row>
    <row r="9" spans="2:15" x14ac:dyDescent="0.2"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4"/>
    </row>
    <row r="10" spans="2:15" ht="6.75" customHeight="1" x14ac:dyDescent="0.2"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4"/>
    </row>
    <row r="11" spans="2:15" ht="9" customHeight="1" x14ac:dyDescent="0.2"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4"/>
    </row>
    <row r="12" spans="2:15" ht="5.25" customHeight="1" x14ac:dyDescent="0.2"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4"/>
    </row>
    <row r="13" spans="2:15" ht="5.25" customHeight="1" x14ac:dyDescent="0.2"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4"/>
    </row>
    <row r="14" spans="2:15" ht="3.75" customHeight="1" x14ac:dyDescent="0.2"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4"/>
    </row>
    <row r="15" spans="2:15" ht="24" customHeight="1" x14ac:dyDescent="0.2">
      <c r="B15" s="13"/>
      <c r="C15" s="26" t="s">
        <v>15</v>
      </c>
      <c r="D15" s="26"/>
      <c r="E15" s="26"/>
      <c r="F15" s="26"/>
      <c r="G15" s="26"/>
      <c r="H15" s="51">
        <v>10000</v>
      </c>
      <c r="I15" s="52"/>
      <c r="J15" s="31"/>
      <c r="K15" s="16"/>
      <c r="L15" s="8"/>
      <c r="M15" s="8"/>
      <c r="N15" s="8"/>
      <c r="O15" s="14"/>
    </row>
    <row r="16" spans="2:15" ht="4.5" customHeight="1" x14ac:dyDescent="0.2">
      <c r="B16" s="13"/>
      <c r="C16" s="8"/>
      <c r="D16" s="8"/>
      <c r="E16" s="8"/>
      <c r="F16" s="8"/>
      <c r="G16" s="8"/>
      <c r="H16" s="16"/>
      <c r="I16" s="16"/>
      <c r="J16" s="16"/>
      <c r="K16" s="16"/>
      <c r="L16" s="8"/>
      <c r="M16" s="8"/>
      <c r="N16" s="8"/>
      <c r="O16" s="14"/>
    </row>
    <row r="17" spans="2:15" ht="4.5" customHeight="1" x14ac:dyDescent="0.2">
      <c r="B17" s="17"/>
      <c r="C17" s="18"/>
      <c r="D17" s="18"/>
      <c r="E17" s="18"/>
      <c r="F17" s="18"/>
      <c r="G17" s="18"/>
      <c r="H17" s="19"/>
      <c r="I17" s="19"/>
      <c r="J17" s="19"/>
      <c r="K17" s="19"/>
      <c r="L17" s="18"/>
      <c r="M17" s="18"/>
      <c r="N17" s="18"/>
      <c r="O17" s="20"/>
    </row>
    <row r="18" spans="2:15" x14ac:dyDescent="0.2"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4"/>
    </row>
    <row r="19" spans="2:15" ht="15.75" x14ac:dyDescent="0.25">
      <c r="B19" s="13"/>
      <c r="C19" s="27" t="s">
        <v>0</v>
      </c>
      <c r="D19" s="8"/>
      <c r="E19" s="8"/>
      <c r="F19" s="8"/>
      <c r="G19" s="8"/>
      <c r="H19" s="24">
        <f>H15/100*Berechnungswerte!D16</f>
        <v>193</v>
      </c>
      <c r="I19" s="24"/>
      <c r="J19" s="24"/>
      <c r="K19" s="8"/>
      <c r="L19" s="8"/>
      <c r="M19" s="8"/>
      <c r="N19" s="8"/>
      <c r="O19" s="14"/>
    </row>
    <row r="20" spans="2:15" ht="15" x14ac:dyDescent="0.25">
      <c r="B20" s="13"/>
      <c r="C20" s="7"/>
      <c r="D20" s="8"/>
      <c r="E20" s="8"/>
      <c r="F20" s="8"/>
      <c r="G20" s="8"/>
      <c r="H20" s="24"/>
      <c r="I20" s="24"/>
      <c r="J20" s="24"/>
      <c r="K20" s="8"/>
      <c r="L20" s="8"/>
      <c r="M20" s="8"/>
      <c r="N20" s="8"/>
      <c r="O20" s="14"/>
    </row>
    <row r="21" spans="2:15" ht="24" customHeight="1" x14ac:dyDescent="0.25">
      <c r="B21" s="41"/>
      <c r="C21" s="49" t="s">
        <v>51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42"/>
    </row>
    <row r="22" spans="2:15" ht="43.5" customHeight="1" x14ac:dyDescent="0.25">
      <c r="B22" s="13"/>
      <c r="C22" s="39" t="s">
        <v>2</v>
      </c>
      <c r="D22" s="26"/>
      <c r="E22" s="26"/>
      <c r="F22" s="26"/>
      <c r="G22" s="26"/>
      <c r="H22" s="35" t="s">
        <v>48</v>
      </c>
      <c r="I22" s="35"/>
      <c r="J22" s="35"/>
      <c r="K22" s="36"/>
      <c r="L22" s="35" t="s">
        <v>42</v>
      </c>
      <c r="M22" s="36"/>
      <c r="N22" s="36" t="s">
        <v>36</v>
      </c>
      <c r="O22" s="25"/>
    </row>
    <row r="23" spans="2:15" x14ac:dyDescent="0.2"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4"/>
    </row>
    <row r="24" spans="2:15" x14ac:dyDescent="0.2">
      <c r="B24" s="13"/>
      <c r="C24" s="8" t="s">
        <v>1</v>
      </c>
      <c r="D24" s="8"/>
      <c r="E24" s="8"/>
      <c r="F24" s="8"/>
      <c r="G24" s="8"/>
      <c r="H24" s="24">
        <f>Berechnungswerte!D18</f>
        <v>19.53</v>
      </c>
      <c r="I24" s="24"/>
      <c r="J24" s="24"/>
      <c r="K24" s="8"/>
      <c r="L24" s="24">
        <f>ROUND(H15/450,2)</f>
        <v>22.22</v>
      </c>
      <c r="M24" s="24"/>
      <c r="N24" s="24">
        <f>SUM(H24:L24)</f>
        <v>41.75</v>
      </c>
      <c r="O24" s="14"/>
    </row>
    <row r="25" spans="2:15" ht="3.95" customHeight="1" x14ac:dyDescent="0.2"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4"/>
    </row>
    <row r="26" spans="2:15" ht="3.95" customHeight="1" x14ac:dyDescent="0.2">
      <c r="B26" s="1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/>
    </row>
    <row r="27" spans="2:15" ht="3.95" customHeight="1" x14ac:dyDescent="0.2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4"/>
    </row>
    <row r="28" spans="2:15" ht="3.95" customHeight="1" x14ac:dyDescent="0.2"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4"/>
    </row>
    <row r="29" spans="2:15" x14ac:dyDescent="0.2">
      <c r="B29" s="13"/>
      <c r="C29" s="8" t="s">
        <v>41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4"/>
    </row>
    <row r="30" spans="2:15" x14ac:dyDescent="0.2">
      <c r="B30" s="13"/>
      <c r="C30" s="8" t="s">
        <v>40</v>
      </c>
      <c r="D30" s="8"/>
      <c r="E30" s="8"/>
      <c r="F30" s="8"/>
      <c r="G30" s="8"/>
      <c r="H30" s="24">
        <f>Berechnungswerte!D19</f>
        <v>30.98</v>
      </c>
      <c r="I30" s="24"/>
      <c r="J30" s="24"/>
      <c r="K30" s="24"/>
      <c r="L30" s="24">
        <f>ROUND(H15/450,2)</f>
        <v>22.22</v>
      </c>
      <c r="M30" s="24"/>
      <c r="N30" s="24">
        <f>SUM(H30:L30)</f>
        <v>53.2</v>
      </c>
      <c r="O30" s="14"/>
    </row>
    <row r="31" spans="2:15" ht="3.95" customHeight="1" x14ac:dyDescent="0.2"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4"/>
    </row>
    <row r="32" spans="2:15" ht="3.95" customHeight="1" x14ac:dyDescent="0.2">
      <c r="B32" s="13"/>
      <c r="C32" s="8"/>
      <c r="D32" s="8"/>
      <c r="E32" s="8"/>
      <c r="F32" s="8"/>
      <c r="G32" s="8"/>
      <c r="H32" s="8"/>
      <c r="I32" s="8"/>
      <c r="J32" s="8"/>
      <c r="K32" s="15"/>
      <c r="L32" s="8"/>
      <c r="M32" s="8"/>
      <c r="N32" s="8"/>
      <c r="O32" s="14"/>
    </row>
    <row r="33" spans="2:15" ht="12.75" customHeight="1" x14ac:dyDescent="0.2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4"/>
    </row>
    <row r="34" spans="2:15" ht="16.5" customHeight="1" x14ac:dyDescent="0.25">
      <c r="B34" s="41"/>
      <c r="C34" s="49" t="s">
        <v>3</v>
      </c>
      <c r="D34" s="33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42"/>
    </row>
    <row r="35" spans="2:15" ht="44.25" customHeight="1" x14ac:dyDescent="0.25">
      <c r="B35" s="13"/>
      <c r="C35" s="39" t="s">
        <v>4</v>
      </c>
      <c r="D35" s="26"/>
      <c r="E35" s="26"/>
      <c r="F35" s="26"/>
      <c r="G35" s="26"/>
      <c r="H35" s="35" t="s">
        <v>48</v>
      </c>
      <c r="I35" s="35"/>
      <c r="J35" s="35"/>
      <c r="K35" s="36"/>
      <c r="L35" s="35" t="s">
        <v>42</v>
      </c>
      <c r="M35" s="36"/>
      <c r="N35" s="35" t="s">
        <v>50</v>
      </c>
      <c r="O35" s="34"/>
    </row>
    <row r="36" spans="2:15" ht="15" x14ac:dyDescent="0.25">
      <c r="B36" s="13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4"/>
    </row>
    <row r="37" spans="2:15" x14ac:dyDescent="0.2">
      <c r="B37" s="13"/>
      <c r="C37" s="8" t="s">
        <v>5</v>
      </c>
      <c r="D37" s="8"/>
      <c r="E37" s="8"/>
      <c r="F37" s="8"/>
      <c r="G37" s="8"/>
      <c r="H37" s="24">
        <f>ROUND(ROUND(0.3*ROUND(Berechnungswerte!$D$3*2/3,2),2)/12,2)</f>
        <v>232.35</v>
      </c>
      <c r="I37" s="24"/>
      <c r="J37" s="24"/>
      <c r="K37" s="8"/>
      <c r="L37" s="24">
        <f>ROUND(ROUND(0.3*ROUND(H$15/3*2,2),2)/12,2)</f>
        <v>166.67</v>
      </c>
      <c r="M37" s="8"/>
      <c r="N37" s="24">
        <f>SUM(H37,L37)</f>
        <v>399.02</v>
      </c>
      <c r="O37" s="14"/>
    </row>
    <row r="38" spans="2:15" ht="3.95" customHeight="1" x14ac:dyDescent="0.2">
      <c r="B38" s="13"/>
      <c r="C38" s="8"/>
      <c r="D38" s="8"/>
      <c r="E38" s="8"/>
      <c r="F38" s="8"/>
      <c r="G38" s="8"/>
      <c r="H38" s="24"/>
      <c r="I38" s="24"/>
      <c r="J38" s="24"/>
      <c r="K38" s="8"/>
      <c r="L38" s="24"/>
      <c r="M38" s="8"/>
      <c r="N38" s="24"/>
      <c r="O38" s="14"/>
    </row>
    <row r="39" spans="2:15" x14ac:dyDescent="0.2">
      <c r="B39" s="13"/>
      <c r="C39" s="8" t="s">
        <v>6</v>
      </c>
      <c r="D39" s="8"/>
      <c r="E39" s="8"/>
      <c r="F39" s="8"/>
      <c r="G39" s="8"/>
      <c r="H39" s="24">
        <f>ROUND(ROUND(0.4*ROUND(Berechnungswerte!$D$3*2/3,2),2)/12,2)</f>
        <v>309.8</v>
      </c>
      <c r="I39" s="24"/>
      <c r="J39" s="24"/>
      <c r="K39" s="8"/>
      <c r="L39" s="24">
        <f>ROUND(ROUND(0.4*ROUND(H$15/3*2,2),2)/12,2)</f>
        <v>222.22</v>
      </c>
      <c r="M39" s="8"/>
      <c r="N39" s="24">
        <f>SUM(H39,L39)</f>
        <v>532.02</v>
      </c>
      <c r="O39" s="14"/>
    </row>
    <row r="40" spans="2:15" ht="3.95" customHeight="1" x14ac:dyDescent="0.2">
      <c r="B40" s="13"/>
      <c r="C40" s="8"/>
      <c r="D40" s="8"/>
      <c r="E40" s="8"/>
      <c r="F40" s="8"/>
      <c r="G40" s="8"/>
      <c r="H40" s="24"/>
      <c r="I40" s="24"/>
      <c r="J40" s="24"/>
      <c r="K40" s="8"/>
      <c r="L40" s="24"/>
      <c r="M40" s="8"/>
      <c r="N40" s="24"/>
      <c r="O40" s="14"/>
    </row>
    <row r="41" spans="2:15" x14ac:dyDescent="0.2">
      <c r="B41" s="13"/>
      <c r="C41" s="8" t="s">
        <v>7</v>
      </c>
      <c r="D41" s="8"/>
      <c r="E41" s="8"/>
      <c r="F41" s="8"/>
      <c r="G41" s="8"/>
      <c r="H41" s="24">
        <f>ROUND(ROUND(0.6*ROUND(Berechnungswerte!$D$3*2/3,2),2)/12,2)</f>
        <v>464.7</v>
      </c>
      <c r="I41" s="24"/>
      <c r="J41" s="24"/>
      <c r="K41" s="8"/>
      <c r="L41" s="24">
        <f>ROUND(ROUND(0.6*ROUND(H$15/3*2,2),2)/12,2)</f>
        <v>333.33</v>
      </c>
      <c r="M41" s="8"/>
      <c r="N41" s="24">
        <f>SUM(H41,L41)</f>
        <v>798.03</v>
      </c>
      <c r="O41" s="14"/>
    </row>
    <row r="42" spans="2:15" ht="3.95" customHeight="1" x14ac:dyDescent="0.2">
      <c r="B42" s="13"/>
      <c r="C42" s="8"/>
      <c r="D42" s="8"/>
      <c r="E42" s="8"/>
      <c r="F42" s="8"/>
      <c r="G42" s="8"/>
      <c r="H42" s="24"/>
      <c r="I42" s="24"/>
      <c r="J42" s="24"/>
      <c r="K42" s="8"/>
      <c r="L42" s="24"/>
      <c r="M42" s="8"/>
      <c r="N42" s="24"/>
      <c r="O42" s="14"/>
    </row>
    <row r="43" spans="2:15" x14ac:dyDescent="0.2">
      <c r="B43" s="13"/>
      <c r="C43" s="8" t="s">
        <v>8</v>
      </c>
      <c r="D43" s="8"/>
      <c r="E43" s="8"/>
      <c r="F43" s="8"/>
      <c r="G43" s="8"/>
      <c r="H43" s="24">
        <f>ROUND(ROUND(0.8*ROUND(Berechnungswerte!$D$3*2/3,2),2)/12,2)</f>
        <v>619.61</v>
      </c>
      <c r="I43" s="24"/>
      <c r="J43" s="24"/>
      <c r="K43" s="8"/>
      <c r="L43" s="24">
        <f>ROUND(ROUND(0.8*ROUND(H$15/3*2,2),2)/12,2)</f>
        <v>444.45</v>
      </c>
      <c r="M43" s="8"/>
      <c r="N43" s="24">
        <f>SUM(H43,L43)</f>
        <v>1064.06</v>
      </c>
      <c r="O43" s="14"/>
    </row>
    <row r="44" spans="2:15" ht="3.95" customHeight="1" x14ac:dyDescent="0.2">
      <c r="B44" s="13"/>
      <c r="C44" s="8"/>
      <c r="D44" s="8"/>
      <c r="E44" s="8"/>
      <c r="F44" s="8"/>
      <c r="G44" s="8"/>
      <c r="H44" s="24"/>
      <c r="I44" s="24"/>
      <c r="J44" s="24"/>
      <c r="K44" s="8"/>
      <c r="L44" s="24"/>
      <c r="M44" s="8"/>
      <c r="N44" s="24"/>
      <c r="O44" s="14"/>
    </row>
    <row r="45" spans="2:15" x14ac:dyDescent="0.2">
      <c r="B45" s="13"/>
      <c r="C45" s="8" t="s">
        <v>9</v>
      </c>
      <c r="D45" s="8"/>
      <c r="E45" s="8"/>
      <c r="F45" s="8"/>
      <c r="G45" s="8"/>
      <c r="H45" s="24">
        <f>ROUND(ROUND(1*ROUND(Berechnungswerte!$D$3*2/3,2),2)/12,2)</f>
        <v>774.51</v>
      </c>
      <c r="I45" s="24"/>
      <c r="J45" s="24"/>
      <c r="K45" s="8"/>
      <c r="L45" s="24">
        <f>ROUND(ROUND(1*ROUND(H$15/3*2,2),2)/12,2)</f>
        <v>555.55999999999995</v>
      </c>
      <c r="M45" s="8"/>
      <c r="N45" s="24">
        <f>SUM(H45,L45)</f>
        <v>1330.07</v>
      </c>
      <c r="O45" s="14"/>
    </row>
    <row r="46" spans="2:15" ht="3.95" customHeight="1" x14ac:dyDescent="0.2">
      <c r="B46" s="1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4"/>
    </row>
    <row r="47" spans="2:15" x14ac:dyDescent="0.2">
      <c r="B47" s="13"/>
      <c r="C47" s="30" t="str">
        <f>IF(Berechnungswerte!G3="X","Anmerkungen zu Verletztenrenten","")</f>
        <v>Anmerkungen zu Verletztenrenten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4"/>
    </row>
    <row r="48" spans="2:15" ht="2.25" customHeight="1" x14ac:dyDescent="0.2">
      <c r="B48" s="1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4"/>
    </row>
    <row r="49" spans="2:15" ht="12" customHeight="1" x14ac:dyDescent="0.2">
      <c r="B49" s="13"/>
      <c r="C49" s="28" t="str">
        <f>IF(Berechnungswerte!G3="X","Bei Schwerverletzten erhöht sich der gesetzliche Jahresarbeitsverdienst, wenn die Minderung der Erwerbsfähigkeit mindestens 50 % beträgt","")</f>
        <v>Bei Schwerverletzten erhöht sich der gesetzliche Jahresarbeitsverdienst, wenn die Minderung der Erwerbsfähigkeit mindestens 50 % beträgt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</row>
    <row r="50" spans="2:15" ht="12" customHeight="1" x14ac:dyDescent="0.2">
      <c r="B50" s="13"/>
      <c r="C50" s="28" t="str">
        <f>IF(Berechnungswerte!G3="X","und eine Rente auf unbestimmte Zeit gewährt wird.","")</f>
        <v>und eine Rente auf unbestimmte Zeit gewährt wird.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1" spans="2:15" ht="3.75" customHeight="1" x14ac:dyDescent="0.2">
      <c r="B51" s="13"/>
      <c r="C51" s="28"/>
      <c r="D51" s="28"/>
      <c r="E51" s="28"/>
      <c r="F51" s="28"/>
      <c r="G51" s="28"/>
      <c r="H51" s="45"/>
      <c r="I51" s="45"/>
      <c r="J51" s="45"/>
      <c r="K51" s="45"/>
      <c r="L51" s="45"/>
      <c r="M51" s="45"/>
      <c r="N51" s="45"/>
      <c r="O51" s="29"/>
    </row>
    <row r="52" spans="2:15" ht="10.5" customHeight="1" x14ac:dyDescent="0.2">
      <c r="B52" s="13"/>
      <c r="C52" s="28" t="str">
        <f>IF(Berechnungswerte!G3="X","Erwerbsminderung von 60 %","")</f>
        <v>Erwerbsminderung von 60 %</v>
      </c>
      <c r="D52" s="28"/>
      <c r="E52" s="28"/>
      <c r="F52" s="28"/>
      <c r="G52" s="28"/>
      <c r="H52" s="43">
        <f>IF(Berechnungswerte!G3="X",ROUND(Berechnungswerte!$D$3*1.25/3*2*60/100/12,2),"")</f>
        <v>580.88</v>
      </c>
      <c r="I52" s="28"/>
      <c r="J52" s="28"/>
      <c r="K52" s="28"/>
      <c r="L52" s="43">
        <f>IF(Berechnungswerte!G3="X",L41,"")</f>
        <v>333.33</v>
      </c>
      <c r="M52" s="46"/>
      <c r="N52" s="47">
        <f>IF(Berechnungswerte!G3="X",SUM(H52,L52),"")</f>
        <v>914.21</v>
      </c>
      <c r="O52" s="29"/>
    </row>
    <row r="53" spans="2:15" ht="14.25" customHeight="1" x14ac:dyDescent="0.2">
      <c r="B53" s="13"/>
      <c r="C53" s="28" t="str">
        <f>IF(Berechnungswerte!G3="X","Erwerbsminderung von 80 %","")</f>
        <v>Erwerbsminderung von 80 %</v>
      </c>
      <c r="D53" s="28"/>
      <c r="E53" s="28"/>
      <c r="F53" s="28"/>
      <c r="G53" s="28"/>
      <c r="H53" s="43">
        <f>IF(Berechnungswerte!G3="X",ROUND(Berechnungswerte!$D$3*1.5/3*2*80/100/12,2),"")</f>
        <v>929.41</v>
      </c>
      <c r="I53" s="28"/>
      <c r="J53" s="28"/>
      <c r="K53" s="28"/>
      <c r="L53" s="43">
        <f>IF(Berechnungswerte!G3="X",L43,"")</f>
        <v>444.45</v>
      </c>
      <c r="M53" s="28"/>
      <c r="N53" s="47">
        <f>IF(Berechnungswerte!G3="X",SUM(H53,L53),"")</f>
        <v>1373.86</v>
      </c>
      <c r="O53" s="29"/>
    </row>
    <row r="54" spans="2:15" ht="14.25" customHeight="1" x14ac:dyDescent="0.2">
      <c r="B54" s="13"/>
      <c r="C54" s="28" t="str">
        <f>IF(Berechnungswerte!G3="X","Erwerbsminderung von 100 %","")</f>
        <v>Erwerbsminderung von 100 %</v>
      </c>
      <c r="D54" s="28"/>
      <c r="E54" s="28"/>
      <c r="F54" s="28"/>
      <c r="G54" s="28"/>
      <c r="H54" s="43">
        <f>IF(Berechnungswerte!G3="X",ROUND(Berechnungswerte!$D$3*1.5/3*2*100/100/12,2),"")</f>
        <v>1161.76</v>
      </c>
      <c r="I54" s="28"/>
      <c r="J54" s="28"/>
      <c r="K54" s="28"/>
      <c r="L54" s="43">
        <f>IF(Berechnungswerte!G3="X",L45,"")</f>
        <v>555.55999999999995</v>
      </c>
      <c r="M54" s="28"/>
      <c r="N54" s="47">
        <f>IF(Berechnungswerte!G3="X",SUM(H54,L54),"")</f>
        <v>1717.32</v>
      </c>
      <c r="O54" s="29"/>
    </row>
    <row r="55" spans="2:15" ht="3" customHeight="1" x14ac:dyDescent="0.2">
      <c r="B55" s="13"/>
      <c r="C55" s="28"/>
      <c r="D55" s="28"/>
      <c r="E55" s="28"/>
      <c r="F55" s="28"/>
      <c r="G55" s="28"/>
      <c r="H55" s="28"/>
      <c r="I55" s="28"/>
      <c r="J55" s="28"/>
      <c r="K55" s="28"/>
      <c r="L55" s="44"/>
      <c r="M55" s="28"/>
      <c r="N55" s="28"/>
      <c r="O55" s="29"/>
    </row>
    <row r="56" spans="2:15" ht="3" customHeight="1" x14ac:dyDescent="0.2">
      <c r="B56" s="1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4"/>
    </row>
    <row r="57" spans="2:15" ht="3" customHeight="1" x14ac:dyDescent="0.2">
      <c r="B57" s="1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4"/>
    </row>
    <row r="58" spans="2:15" ht="6.75" customHeight="1" x14ac:dyDescent="0.2">
      <c r="B58" s="1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4"/>
    </row>
    <row r="59" spans="2:15" ht="45" x14ac:dyDescent="0.25">
      <c r="B59" s="13"/>
      <c r="C59" s="38" t="s">
        <v>10</v>
      </c>
      <c r="D59" s="8"/>
      <c r="E59" s="37"/>
      <c r="F59" s="8"/>
      <c r="G59" s="8"/>
      <c r="H59" s="35" t="s">
        <v>48</v>
      </c>
      <c r="I59" s="35"/>
      <c r="J59" s="35"/>
      <c r="K59" s="36"/>
      <c r="L59" s="35" t="s">
        <v>42</v>
      </c>
      <c r="M59" s="36"/>
      <c r="N59" s="35" t="s">
        <v>50</v>
      </c>
      <c r="O59" s="25"/>
    </row>
    <row r="60" spans="2:15" ht="3.95" customHeight="1" x14ac:dyDescent="0.2">
      <c r="B60" s="1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4"/>
    </row>
    <row r="61" spans="2:15" x14ac:dyDescent="0.2">
      <c r="B61" s="13"/>
      <c r="C61" s="8" t="s">
        <v>11</v>
      </c>
      <c r="D61" s="8"/>
      <c r="E61" s="8"/>
      <c r="F61" s="8"/>
      <c r="G61" s="8"/>
      <c r="H61" s="24">
        <f>ROUND(Berechnungswerte!$D$3*0.2/12,2)</f>
        <v>232.35</v>
      </c>
      <c r="I61" s="24"/>
      <c r="J61" s="24"/>
      <c r="K61" s="8"/>
      <c r="L61" s="24">
        <f>ROUND(H$15*0.2/12+$E46,2)</f>
        <v>166.67</v>
      </c>
      <c r="M61" s="8"/>
      <c r="N61" s="24">
        <f t="shared" ref="N61" si="0">SUM(H61:M61)</f>
        <v>399.02</v>
      </c>
      <c r="O61" s="14"/>
    </row>
    <row r="62" spans="2:15" ht="3.95" customHeight="1" x14ac:dyDescent="0.2">
      <c r="B62" s="13"/>
      <c r="C62" s="8"/>
      <c r="D62" s="8"/>
      <c r="E62" s="8"/>
      <c r="F62" s="8"/>
      <c r="G62" s="8"/>
      <c r="H62" s="24"/>
      <c r="I62" s="24"/>
      <c r="J62" s="24"/>
      <c r="K62" s="8"/>
      <c r="L62" s="24"/>
      <c r="M62" s="8"/>
      <c r="N62" s="24"/>
      <c r="O62" s="14"/>
    </row>
    <row r="63" spans="2:15" x14ac:dyDescent="0.2">
      <c r="B63" s="13"/>
      <c r="C63" s="8" t="s">
        <v>13</v>
      </c>
      <c r="D63" s="8"/>
      <c r="E63" s="8"/>
      <c r="F63" s="8"/>
      <c r="G63" s="8"/>
      <c r="H63" s="24">
        <f>ROUND(Berechnungswerte!$D$3*0.3/12,2)</f>
        <v>348.53</v>
      </c>
      <c r="I63" s="24"/>
      <c r="J63" s="24"/>
      <c r="K63" s="8"/>
      <c r="L63" s="24">
        <f>ROUND(H$15*0.3/12+$E46,2)</f>
        <v>250</v>
      </c>
      <c r="M63" s="8"/>
      <c r="N63" s="24">
        <f t="shared" ref="N63" si="1">SUM(H63:M63)</f>
        <v>598.53</v>
      </c>
      <c r="O63" s="14"/>
    </row>
    <row r="64" spans="2:15" ht="3.95" customHeight="1" x14ac:dyDescent="0.2">
      <c r="B64" s="13"/>
      <c r="C64" s="8"/>
      <c r="D64" s="8"/>
      <c r="E64" s="8"/>
      <c r="F64" s="8"/>
      <c r="G64" s="8"/>
      <c r="H64" s="24"/>
      <c r="I64" s="24"/>
      <c r="J64" s="24"/>
      <c r="K64" s="8"/>
      <c r="L64" s="24"/>
      <c r="M64" s="8"/>
      <c r="N64" s="24"/>
      <c r="O64" s="14"/>
    </row>
    <row r="65" spans="2:15" x14ac:dyDescent="0.2">
      <c r="B65" s="13"/>
      <c r="C65" s="8" t="s">
        <v>12</v>
      </c>
      <c r="D65" s="8"/>
      <c r="E65" s="8"/>
      <c r="F65" s="8"/>
      <c r="G65" s="8"/>
      <c r="H65" s="24">
        <f>ROUND(Berechnungswerte!$D$3*0.4/12,2)</f>
        <v>464.7</v>
      </c>
      <c r="I65" s="24"/>
      <c r="J65" s="24"/>
      <c r="K65" s="8"/>
      <c r="L65" s="24">
        <f>ROUND(H$15*0.4/12+$E46,2)</f>
        <v>333.33</v>
      </c>
      <c r="M65" s="8"/>
      <c r="N65" s="24">
        <f t="shared" ref="N65" si="2">SUM(H65:M65)</f>
        <v>798.03</v>
      </c>
      <c r="O65" s="14"/>
    </row>
    <row r="66" spans="2:15" ht="3.95" customHeight="1" x14ac:dyDescent="0.2">
      <c r="B66" s="1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4"/>
    </row>
    <row r="67" spans="2:15" x14ac:dyDescent="0.2">
      <c r="B67" s="13"/>
      <c r="C67" s="48" t="s">
        <v>37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50"/>
    </row>
    <row r="68" spans="2:15" ht="3.95" customHeight="1" thickBot="1" x14ac:dyDescent="0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3"/>
    </row>
    <row r="69" spans="2:15" x14ac:dyDescent="0.2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2:15" x14ac:dyDescent="0.2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2:15" x14ac:dyDescent="0.2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2:15" x14ac:dyDescent="0.2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2:15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2:15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2:15" x14ac:dyDescent="0.2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2:15" x14ac:dyDescent="0.2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2:15" x14ac:dyDescent="0.2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2:15" x14ac:dyDescent="0.2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2:15" x14ac:dyDescent="0.2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2:15" x14ac:dyDescent="0.2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2:15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2:15" x14ac:dyDescent="0.2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2:15" x14ac:dyDescent="0.2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2:15" x14ac:dyDescent="0.2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2:15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2:15" x14ac:dyDescent="0.2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2:15" x14ac:dyDescent="0.2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2:15" x14ac:dyDescent="0.2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2:15" x14ac:dyDescent="0.2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2:15" x14ac:dyDescent="0.2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spans="2:15" x14ac:dyDescent="0.2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2:15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2:15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2:15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2:15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2:15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</sheetData>
  <sheetProtection password="C9D9" sheet="1" objects="1" scenarios="1" selectLockedCells="1"/>
  <pageMargins left="0.25" right="0.25" top="0.75" bottom="0.75" header="0.3" footer="0.3"/>
  <pageSetup paperSize="9" scale="80"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OptionButton2">
          <controlPr defaultSize="0" autoLine="0" autoPict="0" r:id="rId5">
            <anchor moveWithCells="1">
              <from>
                <xdr:col>2</xdr:col>
                <xdr:colOff>28575</xdr:colOff>
                <xdr:row>7</xdr:row>
                <xdr:rowOff>114300</xdr:rowOff>
              </from>
              <to>
                <xdr:col>11</xdr:col>
                <xdr:colOff>676275</xdr:colOff>
                <xdr:row>9</xdr:row>
                <xdr:rowOff>47625</xdr:rowOff>
              </to>
            </anchor>
          </controlPr>
        </control>
      </mc:Choice>
      <mc:Fallback>
        <control shapeId="1028" r:id="rId4" name="OptionButton2"/>
      </mc:Fallback>
    </mc:AlternateContent>
    <mc:AlternateContent xmlns:mc="http://schemas.openxmlformats.org/markup-compatibility/2006">
      <mc:Choice Requires="x14">
        <control shapeId="1027" r:id="rId6" name="OptionButton1">
          <controlPr defaultSize="0" autoLine="0" r:id="rId7">
            <anchor moveWithCells="1">
              <from>
                <xdr:col>2</xdr:col>
                <xdr:colOff>28575</xdr:colOff>
                <xdr:row>5</xdr:row>
                <xdr:rowOff>85725</xdr:rowOff>
              </from>
              <to>
                <xdr:col>5</xdr:col>
                <xdr:colOff>819150</xdr:colOff>
                <xdr:row>7</xdr:row>
                <xdr:rowOff>9525</xdr:rowOff>
              </to>
            </anchor>
          </controlPr>
        </control>
      </mc:Choice>
      <mc:Fallback>
        <control shapeId="1027" r:id="rId6" name="OptionButton1"/>
      </mc:Fallback>
    </mc:AlternateContent>
    <mc:AlternateContent xmlns:mc="http://schemas.openxmlformats.org/markup-compatibility/2006">
      <mc:Choice Requires="x14">
        <control shapeId="1030" r:id="rId8" name="OptionButton4">
          <controlPr defaultSize="0" autoLine="0" r:id="rId9">
            <anchor moveWithCells="1">
              <from>
                <xdr:col>2</xdr:col>
                <xdr:colOff>28575</xdr:colOff>
                <xdr:row>9</xdr:row>
                <xdr:rowOff>57150</xdr:rowOff>
              </from>
              <to>
                <xdr:col>11</xdr:col>
                <xdr:colOff>619125</xdr:colOff>
                <xdr:row>14</xdr:row>
                <xdr:rowOff>28575</xdr:rowOff>
              </to>
            </anchor>
          </controlPr>
        </control>
      </mc:Choice>
      <mc:Fallback>
        <control shapeId="1030" r:id="rId8" name="OptionButton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I22"/>
  <sheetViews>
    <sheetView topLeftCell="C1" workbookViewId="0">
      <selection activeCell="D2" sqref="D2"/>
    </sheetView>
  </sheetViews>
  <sheetFormatPr baseColWidth="10" defaultRowHeight="12.75" x14ac:dyDescent="0.2"/>
  <cols>
    <col min="1" max="1" width="3.28515625" customWidth="1"/>
    <col min="2" max="2" width="52.140625" customWidth="1"/>
    <col min="3" max="3" width="24.5703125" customWidth="1"/>
  </cols>
  <sheetData>
    <row r="2" spans="2:9" x14ac:dyDescent="0.2">
      <c r="B2" t="s">
        <v>16</v>
      </c>
      <c r="C2" t="s">
        <v>34</v>
      </c>
      <c r="D2" s="6">
        <v>44013</v>
      </c>
      <c r="G2" t="s">
        <v>43</v>
      </c>
      <c r="H2" t="s">
        <v>44</v>
      </c>
      <c r="I2" t="s">
        <v>45</v>
      </c>
    </row>
    <row r="3" spans="2:9" x14ac:dyDescent="0.2">
      <c r="B3" t="s">
        <v>39</v>
      </c>
      <c r="D3" s="4">
        <v>13941.12</v>
      </c>
      <c r="F3" t="s">
        <v>46</v>
      </c>
      <c r="G3" t="s">
        <v>49</v>
      </c>
    </row>
    <row r="4" spans="2:9" ht="13.5" customHeight="1" x14ac:dyDescent="0.2">
      <c r="D4" s="6"/>
      <c r="F4" t="s">
        <v>47</v>
      </c>
    </row>
    <row r="5" spans="2:9" ht="6.75" customHeight="1" x14ac:dyDescent="0.2"/>
    <row r="6" spans="2:9" x14ac:dyDescent="0.2">
      <c r="B6" s="1" t="s">
        <v>17</v>
      </c>
      <c r="C6" s="1" t="s">
        <v>52</v>
      </c>
      <c r="D6" s="2">
        <v>13941.12</v>
      </c>
    </row>
    <row r="7" spans="2:9" x14ac:dyDescent="0.2">
      <c r="B7" s="1" t="s">
        <v>18</v>
      </c>
      <c r="C7" s="1" t="s">
        <v>52</v>
      </c>
      <c r="D7" s="3">
        <f>ROUND(D6*1.5,2)</f>
        <v>20911.68</v>
      </c>
    </row>
    <row r="8" spans="2:9" x14ac:dyDescent="0.2">
      <c r="B8" s="1" t="s">
        <v>19</v>
      </c>
      <c r="C8" s="1" t="s">
        <v>53</v>
      </c>
      <c r="D8" s="3">
        <f>D12*2</f>
        <v>76440</v>
      </c>
    </row>
    <row r="9" spans="2:9" x14ac:dyDescent="0.2">
      <c r="B9" s="1" t="s">
        <v>20</v>
      </c>
      <c r="C9" s="1" t="s">
        <v>54</v>
      </c>
      <c r="D9" s="4">
        <v>50000</v>
      </c>
    </row>
    <row r="10" spans="2:9" x14ac:dyDescent="0.2">
      <c r="B10" s="1" t="s">
        <v>21</v>
      </c>
      <c r="C10" s="1" t="s">
        <v>58</v>
      </c>
      <c r="D10" s="4">
        <v>50000</v>
      </c>
    </row>
    <row r="11" spans="2:9" x14ac:dyDescent="0.2">
      <c r="B11" s="1" t="s">
        <v>22</v>
      </c>
      <c r="C11" s="1" t="s">
        <v>59</v>
      </c>
      <c r="D11" s="53">
        <v>1.0345</v>
      </c>
    </row>
    <row r="12" spans="2:9" x14ac:dyDescent="0.2">
      <c r="B12" s="1" t="s">
        <v>23</v>
      </c>
      <c r="C12" s="1" t="s">
        <v>23</v>
      </c>
      <c r="D12" s="4">
        <v>38220</v>
      </c>
    </row>
    <row r="13" spans="2:9" x14ac:dyDescent="0.2">
      <c r="B13" s="1" t="s">
        <v>24</v>
      </c>
      <c r="C13" s="1" t="s">
        <v>24</v>
      </c>
      <c r="D13" s="4">
        <v>36120</v>
      </c>
    </row>
    <row r="14" spans="2:9" x14ac:dyDescent="0.2">
      <c r="B14" s="1" t="s">
        <v>25</v>
      </c>
      <c r="C14" s="1" t="s">
        <v>56</v>
      </c>
      <c r="D14" s="3">
        <f>D12*0.6</f>
        <v>22932</v>
      </c>
    </row>
    <row r="15" spans="2:9" x14ac:dyDescent="0.2">
      <c r="B15" s="1" t="s">
        <v>26</v>
      </c>
      <c r="C15" s="1" t="s">
        <v>55</v>
      </c>
      <c r="D15" s="3">
        <f>D13*0.6</f>
        <v>21672</v>
      </c>
    </row>
    <row r="16" spans="2:9" x14ac:dyDescent="0.2">
      <c r="B16" s="1" t="s">
        <v>27</v>
      </c>
      <c r="C16" s="1" t="s">
        <v>57</v>
      </c>
      <c r="D16" s="4">
        <v>1.93</v>
      </c>
    </row>
    <row r="17" spans="2:4" ht="25.5" x14ac:dyDescent="0.2">
      <c r="B17" s="1" t="s">
        <v>28</v>
      </c>
      <c r="C17" s="1" t="s">
        <v>28</v>
      </c>
      <c r="D17" s="4">
        <v>56250</v>
      </c>
    </row>
    <row r="18" spans="2:4" ht="26.25" customHeight="1" x14ac:dyDescent="0.2">
      <c r="B18" s="1" t="s">
        <v>29</v>
      </c>
      <c r="C18" s="1" t="s">
        <v>30</v>
      </c>
      <c r="D18" s="5">
        <f>ROUND(D17/360/8,2)</f>
        <v>19.53</v>
      </c>
    </row>
    <row r="19" spans="2:4" ht="16.5" customHeight="1" x14ac:dyDescent="0.2">
      <c r="B19" s="1" t="s">
        <v>31</v>
      </c>
      <c r="C19" s="1" t="s">
        <v>32</v>
      </c>
      <c r="D19" s="3">
        <f>ROUND(D6/450,2)</f>
        <v>30.98</v>
      </c>
    </row>
    <row r="20" spans="2:4" x14ac:dyDescent="0.2">
      <c r="B20" s="1" t="s">
        <v>35</v>
      </c>
      <c r="C20" s="1" t="s">
        <v>60</v>
      </c>
      <c r="D20" s="5">
        <f>ROUND(D6/3*2*100/100/12,2)</f>
        <v>774.51</v>
      </c>
    </row>
    <row r="21" spans="2:4" x14ac:dyDescent="0.2">
      <c r="B21" s="1" t="s">
        <v>33</v>
      </c>
      <c r="C21" s="1" t="s">
        <v>51</v>
      </c>
      <c r="D21" s="5">
        <f>D18</f>
        <v>19.53</v>
      </c>
    </row>
    <row r="22" spans="2:4" x14ac:dyDescent="0.2">
      <c r="B22" s="1"/>
      <c r="C22" s="1"/>
      <c r="D22" s="1"/>
    </row>
  </sheetData>
  <sheetProtection sheet="1" objects="1" scenarios="1"/>
  <conditionalFormatting sqref="C22">
    <cfRule type="cellIs" dxfId="0" priority="1" stopIfTrue="1" operator="equal">
      <formula>"ja"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</vt:lpstr>
      <vt:lpstr>Berechnungswerte</vt:lpstr>
      <vt:lpstr>Berechnung!Druckbereich</vt:lpstr>
    </vt:vector>
  </TitlesOfParts>
  <Company>SVLFG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Spittler, Roland</dc:creator>
  <cp:lastModifiedBy>Schkuratowa, Katja</cp:lastModifiedBy>
  <dcterms:created xsi:type="dcterms:W3CDTF">2017-01-04T08:22:48Z</dcterms:created>
  <dcterms:modified xsi:type="dcterms:W3CDTF">2020-07-13T08:54:22Z</dcterms:modified>
</cp:coreProperties>
</file>